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9440" windowHeight="12240"/>
  </bookViews>
  <sheets>
    <sheet name="Sheet1" sheetId="1" r:id="rId1"/>
    <sheet name="Sheet2" sheetId="2" r:id="rId2"/>
    <sheet name="Sheet3" sheetId="3" r:id="rId3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"/>
  <c r="D127"/>
  <c r="J35" s="1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98"/>
  <c r="E29"/>
  <c r="J20" l="1"/>
  <c r="I63"/>
  <c r="J19"/>
  <c r="J7"/>
  <c r="J9" s="1"/>
  <c r="L26" s="1"/>
  <c r="I62"/>
  <c r="L25" l="1"/>
  <c r="J8"/>
  <c r="J12"/>
  <c r="J38" s="1"/>
  <c r="J11"/>
  <c r="J37" l="1"/>
  <c r="D137" s="1"/>
  <c r="J15" s="1"/>
  <c r="J51" s="1"/>
  <c r="D138"/>
  <c r="L38"/>
  <c r="J54" l="1"/>
  <c r="D141"/>
  <c r="D131" s="1"/>
  <c r="J16"/>
  <c r="J24" s="1"/>
  <c r="J29"/>
  <c r="D148"/>
  <c r="J23"/>
  <c r="J26" s="1"/>
  <c r="J52" l="1"/>
  <c r="J30"/>
  <c r="D145" s="1"/>
  <c r="J49" s="1"/>
  <c r="D149"/>
  <c r="D151" s="1"/>
  <c r="J60" s="1"/>
  <c r="D144"/>
  <c r="J27"/>
  <c r="J32"/>
  <c r="J57"/>
  <c r="J55" l="1"/>
  <c r="J58" s="1"/>
  <c r="J33"/>
  <c r="J41"/>
  <c r="J45" s="1"/>
  <c r="J40"/>
  <c r="J44" s="1"/>
  <c r="J48"/>
</calcChain>
</file>

<file path=xl/sharedStrings.xml><?xml version="1.0" encoding="utf-8"?>
<sst xmlns="http://schemas.openxmlformats.org/spreadsheetml/2006/main" count="67" uniqueCount="66">
  <si>
    <t>Small Loop HF Antenna design using copper radiator</t>
  </si>
  <si>
    <t xml:space="preserve">               Input values</t>
  </si>
  <si>
    <t xml:space="preserve">                Calculated values</t>
  </si>
  <si>
    <t xml:space="preserve">                  Circular Loop</t>
  </si>
  <si>
    <t xml:space="preserve"> Loop diameter (inches)</t>
  </si>
  <si>
    <t>Loop inductance (μH)   =</t>
  </si>
  <si>
    <t>Conductor diameter (inches)</t>
  </si>
  <si>
    <t xml:space="preserve">Loop inductive reactance at Fmin (ohms) = </t>
  </si>
  <si>
    <t xml:space="preserve">Loop inductive reactance at Fmax (ohms) = </t>
  </si>
  <si>
    <t>Minimum Frequency (Mhz)</t>
  </si>
  <si>
    <t>Total max  Capacitance to resonate (pf) =</t>
  </si>
  <si>
    <t>Maximum Frequency (MHz)</t>
  </si>
  <si>
    <t>Total min   Capacitance to resonate (pf) =</t>
  </si>
  <si>
    <t>Transmitter power (watts)</t>
  </si>
  <si>
    <t>Est total Loss Resistance at Fmin (ohms) =</t>
  </si>
  <si>
    <t>Est total Loss Resistance at Fmax (ohms) =</t>
  </si>
  <si>
    <t>Tuning Capacitor Q at F min</t>
  </si>
  <si>
    <t>(Use chart if unknown)</t>
  </si>
  <si>
    <t>Est Radiation resistance at Fmin (ohms) =</t>
  </si>
  <si>
    <t>Tuning Capacitor Q at F max</t>
  </si>
  <si>
    <t>Est Radiation resistance at Fmax (ohms) =</t>
  </si>
  <si>
    <t>Transmission Line Z0 (ohms)</t>
  </si>
  <si>
    <t xml:space="preserve">Antenna efficiency at Fmin (percent) = </t>
  </si>
  <si>
    <t xml:space="preserve">         ≈ 200 - 250 pf               ≈ 60 pf</t>
  </si>
  <si>
    <r>
      <t xml:space="preserve">        ≈ 30 pf                   </t>
    </r>
    <r>
      <rPr>
        <b/>
        <sz val="12"/>
        <rFont val="Calibri"/>
        <family val="2"/>
      </rPr>
      <t>≈</t>
    </r>
    <r>
      <rPr>
        <b/>
        <sz val="12"/>
        <rFont val="Arial"/>
        <family val="2"/>
      </rPr>
      <t>10 -15 pf</t>
    </r>
  </si>
  <si>
    <r>
      <t xml:space="preserve">      </t>
    </r>
    <r>
      <rPr>
        <b/>
        <sz val="12"/>
        <rFont val="Calibri"/>
        <family val="2"/>
      </rPr>
      <t>≈</t>
    </r>
    <r>
      <rPr>
        <b/>
        <sz val="12"/>
        <rFont val="Arial"/>
        <family val="2"/>
      </rPr>
      <t xml:space="preserve"> 7-10 pf</t>
    </r>
  </si>
  <si>
    <t xml:space="preserve">Antenna efficiency at Fmax (percent) = </t>
  </si>
  <si>
    <t xml:space="preserve">Estimated Free space gain at Fmin (dBi) = </t>
  </si>
  <si>
    <t xml:space="preserve">       * Bandwidth and Q calculated </t>
  </si>
  <si>
    <t xml:space="preserve">Estimated Free space gain at Fmax (dBi) = </t>
  </si>
  <si>
    <t xml:space="preserve">              for  antenna driven by a   </t>
  </si>
  <si>
    <t xml:space="preserve">              source impedance of</t>
  </si>
  <si>
    <t>*Antenna Loaded Q at F min =</t>
  </si>
  <si>
    <t>*Antenna Loaded Q at F max =</t>
  </si>
  <si>
    <t xml:space="preserve">       ** Use voltage rating for            </t>
  </si>
  <si>
    <t xml:space="preserve">*Antenna Bandwidth at Fmin (Khz) = </t>
  </si>
  <si>
    <t xml:space="preserve">              Vacuum Variable Capacitor</t>
  </si>
  <si>
    <t xml:space="preserve">*Antenna Bandwidth at Fmax (Khz) = </t>
  </si>
  <si>
    <t>Ant Distributed capacitance (pf) =</t>
  </si>
  <si>
    <t>Required added capacitiance at Fmin (pf) =</t>
  </si>
  <si>
    <t>Required added capacitiance at Fmax (pf) =</t>
  </si>
  <si>
    <t>Capacitor potential at Fmin (volts) =</t>
  </si>
  <si>
    <t>`</t>
  </si>
  <si>
    <t>Capacitor potential at Fmax (volts) =</t>
  </si>
  <si>
    <t>For Butterfly or Standard Capacitor: **</t>
  </si>
  <si>
    <t>Min Capacitor plate spacing at Fmin (in) =</t>
  </si>
  <si>
    <t>Min Capacitor plate spacing at Fmax (in) =</t>
  </si>
  <si>
    <t>Conservative (adds 50% safety factor)</t>
  </si>
  <si>
    <t>Equiv Parallel Resistance at Fmin (K ohms) =</t>
  </si>
  <si>
    <t>Equiv Parallel Resistance at Fmax (K ohms) =</t>
  </si>
  <si>
    <t>Loop circulating current at Fmin (amps) =</t>
  </si>
  <si>
    <t>Loop circulating current at Fmax (amps) =</t>
  </si>
  <si>
    <t>Est Capacitor Loss at Fmin (watts) =</t>
  </si>
  <si>
    <t>Est Capacitor Loss at Fmax (watts) =</t>
  </si>
  <si>
    <t>Est Copper Loss at Fmin (watts) =</t>
  </si>
  <si>
    <t>Est Copper Loss at Fmax (watts) =</t>
  </si>
  <si>
    <t>Approx dia of coupling loop (in)  =</t>
  </si>
  <si>
    <t>Small loop Fmin</t>
  </si>
  <si>
    <t>Small loop Fmax</t>
  </si>
  <si>
    <t>Rload total</t>
  </si>
  <si>
    <t>Rc Cap Fmin</t>
  </si>
  <si>
    <t>Rc Cap Fmax</t>
  </si>
  <si>
    <t>RL tot</t>
  </si>
  <si>
    <t>Coupling for Fmin</t>
  </si>
  <si>
    <t>Coupling for F max</t>
  </si>
  <si>
    <t>Avg coupling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</si>
</sst>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"/>
    <numFmt numFmtId="167" formatCode="0.00000"/>
  </numFmts>
  <fonts count="16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4"/>
      <color indexed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b/>
      <i/>
      <sz val="12"/>
      <color rgb="FFF70991"/>
      <name val="Arial"/>
      <family val="2"/>
    </font>
    <font>
      <b/>
      <i/>
      <sz val="10"/>
      <color rgb="FFF7099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7" xfId="0" applyBorder="1"/>
    <xf numFmtId="0" fontId="3" fillId="0" borderId="0" xfId="0" applyFont="1"/>
    <xf numFmtId="0" fontId="2" fillId="0" borderId="0" xfId="0" applyFont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7" fillId="0" borderId="12" xfId="0" applyFont="1" applyBorder="1"/>
    <xf numFmtId="0" fontId="7" fillId="0" borderId="0" xfId="0" applyFont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5" xfId="0" applyFont="1" applyBorder="1"/>
    <xf numFmtId="165" fontId="2" fillId="0" borderId="0" xfId="0" applyNumberFormat="1" applyFont="1" applyAlignment="1">
      <alignment horizontal="left"/>
    </xf>
    <xf numFmtId="0" fontId="2" fillId="0" borderId="8" xfId="0" applyFont="1" applyBorder="1"/>
    <xf numFmtId="2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/>
    <xf numFmtId="0" fontId="2" fillId="0" borderId="0" xfId="0" applyFont="1" applyAlignment="1">
      <alignment horizontal="left"/>
    </xf>
    <xf numFmtId="0" fontId="7" fillId="0" borderId="5" xfId="0" applyFont="1" applyBorder="1"/>
    <xf numFmtId="0" fontId="0" fillId="0" borderId="13" xfId="0" applyBorder="1"/>
    <xf numFmtId="0" fontId="0" fillId="0" borderId="11" xfId="0" applyBorder="1"/>
    <xf numFmtId="0" fontId="0" fillId="0" borderId="15" xfId="0" applyBorder="1"/>
    <xf numFmtId="0" fontId="7" fillId="0" borderId="16" xfId="0" applyFont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/>
    <xf numFmtId="0" fontId="9" fillId="0" borderId="0" xfId="0" applyFont="1"/>
    <xf numFmtId="0" fontId="0" fillId="0" borderId="18" xfId="0" applyBorder="1"/>
    <xf numFmtId="0" fontId="0" fillId="0" borderId="20" xfId="0" applyBorder="1"/>
    <xf numFmtId="166" fontId="10" fillId="0" borderId="23" xfId="0" applyNumberFormat="1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" fontId="0" fillId="0" borderId="0" xfId="0" applyNumberFormat="1"/>
    <xf numFmtId="0" fontId="0" fillId="0" borderId="16" xfId="0" applyBorder="1"/>
    <xf numFmtId="2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7" fillId="0" borderId="20" xfId="0" applyFont="1" applyBorder="1"/>
    <xf numFmtId="0" fontId="0" fillId="0" borderId="22" xfId="0" applyBorder="1"/>
    <xf numFmtId="2" fontId="9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/>
    </xf>
    <xf numFmtId="0" fontId="2" fillId="2" borderId="12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" fillId="2" borderId="12" xfId="0" applyFont="1" applyFill="1" applyBorder="1" applyProtection="1">
      <protection locked="0"/>
    </xf>
    <xf numFmtId="0" fontId="0" fillId="2" borderId="8" xfId="0" applyFill="1" applyBorder="1"/>
    <xf numFmtId="0" fontId="2" fillId="2" borderId="14" xfId="0" applyFont="1" applyFill="1" applyBorder="1" applyAlignment="1" applyProtection="1">
      <alignment horizontal="left"/>
      <protection locked="0"/>
    </xf>
    <xf numFmtId="0" fontId="0" fillId="2" borderId="10" xfId="0" applyFill="1" applyBorder="1"/>
    <xf numFmtId="0" fontId="0" fillId="2" borderId="5" xfId="0" applyFill="1" applyBorder="1"/>
    <xf numFmtId="1" fontId="2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/>
    <xf numFmtId="1" fontId="11" fillId="2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2" borderId="16" xfId="0" applyFill="1" applyBorder="1"/>
    <xf numFmtId="0" fontId="0" fillId="2" borderId="17" xfId="0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left"/>
    </xf>
    <xf numFmtId="0" fontId="3" fillId="2" borderId="2" xfId="0" applyFont="1" applyFill="1" applyBorder="1"/>
    <xf numFmtId="1" fontId="9" fillId="0" borderId="0" xfId="0" applyNumberFormat="1" applyFont="1"/>
    <xf numFmtId="167" fontId="0" fillId="0" borderId="0" xfId="0" applyNumberFormat="1"/>
    <xf numFmtId="0" fontId="12" fillId="0" borderId="0" xfId="0" applyFont="1"/>
    <xf numFmtId="0" fontId="0" fillId="0" borderId="3" xfId="0" applyBorder="1" applyAlignment="1">
      <alignment horizontal="left"/>
    </xf>
    <xf numFmtId="0" fontId="2" fillId="0" borderId="4" xfId="0" applyFont="1" applyBorder="1"/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0" xfId="0" applyFont="1"/>
    <xf numFmtId="0" fontId="13" fillId="0" borderId="29" xfId="0" applyFont="1" applyBorder="1" applyAlignment="1" applyProtection="1">
      <alignment horizontal="right"/>
      <protection locked="0"/>
    </xf>
    <xf numFmtId="0" fontId="13" fillId="0" borderId="0" xfId="0" applyFont="1"/>
    <xf numFmtId="0" fontId="13" fillId="0" borderId="30" xfId="0" applyFont="1" applyBorder="1"/>
    <xf numFmtId="166" fontId="10" fillId="0" borderId="0" xfId="0" applyNumberFormat="1" applyFont="1"/>
    <xf numFmtId="0" fontId="2" fillId="0" borderId="19" xfId="0" applyFont="1" applyBorder="1"/>
    <xf numFmtId="0" fontId="11" fillId="0" borderId="0" xfId="0" applyFont="1"/>
    <xf numFmtId="165" fontId="11" fillId="0" borderId="19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2" xfId="0" applyBorder="1" applyAlignment="1">
      <alignment horizontal="left"/>
    </xf>
    <xf numFmtId="0" fontId="14" fillId="0" borderId="0" xfId="0" applyFont="1"/>
    <xf numFmtId="0" fontId="14" fillId="0" borderId="4" xfId="0" applyFont="1" applyBorder="1"/>
    <xf numFmtId="0" fontId="15" fillId="0" borderId="0" xfId="0" applyFont="1" applyAlignment="1">
      <alignment horizontal="left"/>
    </xf>
    <xf numFmtId="0" fontId="2" fillId="0" borderId="14" xfId="0" applyFont="1" applyBorder="1"/>
    <xf numFmtId="2" fontId="2" fillId="0" borderId="2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0991"/>
      <color rgb="FF5E022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Typical Tuning Capacitor Q  250 pf Variable Cap  (Green vacuum    Violet Butterfly    Blue  standard)</a:t>
            </a:r>
          </a:p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rich>
      </c:tx>
      <c:layout>
        <c:manualLayout>
          <c:xMode val="edge"/>
          <c:yMode val="edge"/>
          <c:x val="0.11820626752364696"/>
          <c:y val="2.61228247825471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816590514020708E-2"/>
          <c:y val="0.11776256013324179"/>
          <c:w val="0.8164650876130366"/>
          <c:h val="0.74819477593629413"/>
        </c:manualLayout>
      </c:layout>
      <c:scatterChart>
        <c:scatterStyle val="smoothMarker"/>
        <c:ser>
          <c:idx val="0"/>
          <c:order val="0"/>
          <c:tx>
            <c:v>Standard cap Q vs Freq</c:v>
          </c:tx>
          <c:spPr>
            <a:ln w="22225">
              <a:solidFill>
                <a:srgbClr val="000080"/>
              </a:solidFill>
              <a:prstDash val="solid"/>
            </a:ln>
          </c:spPr>
          <c:marker>
            <c:symbol val="none"/>
          </c:marker>
          <c:trendline>
            <c:trendlineType val="poly"/>
            <c:order val="4"/>
          </c:trendline>
          <c:xVal>
            <c:numRef>
              <c:f>Sheet1!$D$98:$D$118</c:f>
              <c:numCache>
                <c:formatCode>General</c:formatCode>
                <c:ptCount val="2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30</c:v>
                </c:pt>
              </c:numCache>
            </c:numRef>
          </c:xVal>
          <c:yVal>
            <c:numRef>
              <c:f>Sheet1!$J$98:$J$118</c:f>
              <c:numCache>
                <c:formatCode>0</c:formatCode>
                <c:ptCount val="21"/>
                <c:pt idx="0">
                  <c:v>2000</c:v>
                </c:pt>
                <c:pt idx="1">
                  <c:v>1960</c:v>
                </c:pt>
                <c:pt idx="2">
                  <c:v>1920</c:v>
                </c:pt>
                <c:pt idx="3">
                  <c:v>1890</c:v>
                </c:pt>
                <c:pt idx="4">
                  <c:v>1850</c:v>
                </c:pt>
                <c:pt idx="5">
                  <c:v>1810</c:v>
                </c:pt>
                <c:pt idx="6">
                  <c:v>1770</c:v>
                </c:pt>
                <c:pt idx="7">
                  <c:v>1730</c:v>
                </c:pt>
                <c:pt idx="8">
                  <c:v>1690</c:v>
                </c:pt>
                <c:pt idx="9">
                  <c:v>1620</c:v>
                </c:pt>
                <c:pt idx="10">
                  <c:v>1540</c:v>
                </c:pt>
                <c:pt idx="11">
                  <c:v>1470</c:v>
                </c:pt>
                <c:pt idx="12">
                  <c:v>1380</c:v>
                </c:pt>
                <c:pt idx="13">
                  <c:v>1280</c:v>
                </c:pt>
                <c:pt idx="14">
                  <c:v>1220</c:v>
                </c:pt>
                <c:pt idx="15">
                  <c:v>1100</c:v>
                </c:pt>
                <c:pt idx="16">
                  <c:v>1020</c:v>
                </c:pt>
                <c:pt idx="17">
                  <c:v>950</c:v>
                </c:pt>
                <c:pt idx="18">
                  <c:v>870</c:v>
                </c:pt>
                <c:pt idx="19">
                  <c:v>770</c:v>
                </c:pt>
                <c:pt idx="20">
                  <c:v>700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31D-4838-B41E-307DF8EF99D7}"/>
            </c:ext>
          </c:extLst>
        </c:ser>
        <c:ser>
          <c:idx val="1"/>
          <c:order val="1"/>
          <c:tx>
            <c:v>Butterfly cap Q vs. Freq</c:v>
          </c:tx>
          <c:spPr>
            <a:ln w="22225">
              <a:solidFill>
                <a:srgbClr val="FF00FF"/>
              </a:solidFill>
              <a:prstDash val="solid"/>
            </a:ln>
          </c:spPr>
          <c:marker>
            <c:symbol val="none"/>
          </c:marker>
          <c:trendline>
            <c:trendlineType val="poly"/>
            <c:order val="4"/>
          </c:trendline>
          <c:xVal>
            <c:numRef>
              <c:f>Sheet1!$D$98:$D$118</c:f>
              <c:numCache>
                <c:formatCode>General</c:formatCode>
                <c:ptCount val="2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30</c:v>
                </c:pt>
              </c:numCache>
            </c:numRef>
          </c:xVal>
          <c:yVal>
            <c:numRef>
              <c:f>Sheet1!$I$98:$I$118</c:f>
              <c:numCache>
                <c:formatCode>General</c:formatCode>
                <c:ptCount val="21"/>
                <c:pt idx="0">
                  <c:v>3550</c:v>
                </c:pt>
                <c:pt idx="1">
                  <c:v>3500</c:v>
                </c:pt>
                <c:pt idx="2">
                  <c:v>3450</c:v>
                </c:pt>
                <c:pt idx="3">
                  <c:v>3400</c:v>
                </c:pt>
                <c:pt idx="4">
                  <c:v>3350</c:v>
                </c:pt>
                <c:pt idx="5">
                  <c:v>3300</c:v>
                </c:pt>
                <c:pt idx="6">
                  <c:v>3250</c:v>
                </c:pt>
                <c:pt idx="7">
                  <c:v>3200</c:v>
                </c:pt>
                <c:pt idx="8">
                  <c:v>3150</c:v>
                </c:pt>
                <c:pt idx="9">
                  <c:v>3100</c:v>
                </c:pt>
                <c:pt idx="10">
                  <c:v>3050</c:v>
                </c:pt>
                <c:pt idx="11">
                  <c:v>3000</c:v>
                </c:pt>
                <c:pt idx="12">
                  <c:v>2900</c:v>
                </c:pt>
                <c:pt idx="13">
                  <c:v>2775</c:v>
                </c:pt>
                <c:pt idx="14">
                  <c:v>2650</c:v>
                </c:pt>
                <c:pt idx="15">
                  <c:v>2500</c:v>
                </c:pt>
                <c:pt idx="16">
                  <c:v>2350</c:v>
                </c:pt>
                <c:pt idx="17">
                  <c:v>2200</c:v>
                </c:pt>
                <c:pt idx="18">
                  <c:v>2050</c:v>
                </c:pt>
                <c:pt idx="19">
                  <c:v>1750</c:v>
                </c:pt>
                <c:pt idx="20">
                  <c:v>1350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31D-4838-B41E-307DF8EF99D7}"/>
            </c:ext>
          </c:extLst>
        </c:ser>
        <c:ser>
          <c:idx val="2"/>
          <c:order val="2"/>
          <c:tx>
            <c:v>Vacuum variable</c:v>
          </c:tx>
          <c:spPr>
            <a:ln w="22225"/>
          </c:spPr>
          <c:marker>
            <c:symbol val="none"/>
          </c:marker>
          <c:trendline>
            <c:trendlineType val="poly"/>
            <c:order val="4"/>
          </c:trendline>
          <c:xVal>
            <c:numRef>
              <c:f>Sheet1!$D$98:$D$118</c:f>
              <c:numCache>
                <c:formatCode>General</c:formatCode>
                <c:ptCount val="2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30</c:v>
                </c:pt>
              </c:numCache>
            </c:numRef>
          </c:xVal>
          <c:yVal>
            <c:numRef>
              <c:f>Sheet1!$L$98:$L$118</c:f>
              <c:numCache>
                <c:formatCode>General</c:formatCode>
                <c:ptCount val="21"/>
                <c:pt idx="0">
                  <c:v>4970</c:v>
                </c:pt>
                <c:pt idx="1">
                  <c:v>4900</c:v>
                </c:pt>
                <c:pt idx="2">
                  <c:v>4830</c:v>
                </c:pt>
                <c:pt idx="3">
                  <c:v>4760</c:v>
                </c:pt>
                <c:pt idx="4">
                  <c:v>4690</c:v>
                </c:pt>
                <c:pt idx="5">
                  <c:v>4620</c:v>
                </c:pt>
                <c:pt idx="6">
                  <c:v>4550</c:v>
                </c:pt>
                <c:pt idx="7">
                  <c:v>4480</c:v>
                </c:pt>
                <c:pt idx="8">
                  <c:v>4410</c:v>
                </c:pt>
                <c:pt idx="9">
                  <c:v>4340</c:v>
                </c:pt>
                <c:pt idx="10">
                  <c:v>4270</c:v>
                </c:pt>
                <c:pt idx="11">
                  <c:v>4200</c:v>
                </c:pt>
                <c:pt idx="12">
                  <c:v>4060</c:v>
                </c:pt>
                <c:pt idx="13">
                  <c:v>3885</c:v>
                </c:pt>
                <c:pt idx="14">
                  <c:v>3710</c:v>
                </c:pt>
                <c:pt idx="15">
                  <c:v>3500</c:v>
                </c:pt>
                <c:pt idx="16">
                  <c:v>3290</c:v>
                </c:pt>
                <c:pt idx="17">
                  <c:v>3080</c:v>
                </c:pt>
                <c:pt idx="18">
                  <c:v>2870</c:v>
                </c:pt>
                <c:pt idx="19">
                  <c:v>2450</c:v>
                </c:pt>
                <c:pt idx="20">
                  <c:v>1890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931D-4838-B41E-307DF8EF99D7}"/>
            </c:ext>
          </c:extLst>
        </c:ser>
        <c:dLbls/>
        <c:axId val="118466816"/>
        <c:axId val="118481280"/>
      </c:scatterChart>
      <c:valAx>
        <c:axId val="118466816"/>
        <c:scaling>
          <c:orientation val="minMax"/>
          <c:max val="30"/>
          <c:min val="7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Freq (MHZ)</a:t>
                </a:r>
              </a:p>
            </c:rich>
          </c:tx>
          <c:layout>
            <c:manualLayout>
              <c:xMode val="edge"/>
              <c:yMode val="edge"/>
              <c:x val="0.39901091310957959"/>
              <c:y val="0.933899905571293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481280"/>
        <c:crosses val="autoZero"/>
        <c:crossBetween val="midCat"/>
        <c:majorUnit val="1"/>
        <c:minorUnit val="1"/>
      </c:valAx>
      <c:valAx>
        <c:axId val="118481280"/>
        <c:scaling>
          <c:orientation val="minMax"/>
        </c:scaling>
        <c:axPos val="l"/>
        <c:majorGridlines>
          <c:spPr>
            <a:ln w="3175">
              <a:solidFill>
                <a:schemeClr val="bg2">
                  <a:lumMod val="50000"/>
                </a:schemeClr>
              </a:solidFill>
              <a:prstDash val="solid"/>
            </a:ln>
          </c:spPr>
        </c:majorGridlines>
        <c:minorGridlines>
          <c:spPr>
            <a:ln w="9525">
              <a:solidFill>
                <a:schemeClr val="bg2">
                  <a:lumMod val="50000"/>
                </a:schemeClr>
              </a:solidFill>
              <a:prstDash val="sysDot"/>
            </a:ln>
          </c:spPr>
        </c:minorGridlines>
        <c:title>
          <c:tx>
            <c:rich>
              <a:bodyPr rot="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Q</a:t>
                </a:r>
              </a:p>
            </c:rich>
          </c:tx>
          <c:layout>
            <c:manualLayout>
              <c:xMode val="edge"/>
              <c:yMode val="edge"/>
              <c:x val="2.1592442645074251E-2"/>
              <c:y val="0.4893617021276869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46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306016</xdr:colOff>
      <xdr:row>3</xdr:row>
      <xdr:rowOff>28574</xdr:rowOff>
    </xdr:from>
    <xdr:to>
      <xdr:col>18</xdr:col>
      <xdr:colOff>25130</xdr:colOff>
      <xdr:row>19</xdr:row>
      <xdr:rowOff>123824</xdr:rowOff>
    </xdr:to>
    <xdr:graphicFrame macro="">
      <xdr:nvGraphicFramePr>
        <xdr:cNvPr id="1033" name="Chart 1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1051808</xdr:colOff>
      <xdr:row>19</xdr:row>
      <xdr:rowOff>136188</xdr:rowOff>
    </xdr:from>
    <xdr:to>
      <xdr:col>11</xdr:col>
      <xdr:colOff>1051809</xdr:colOff>
      <xdr:row>21</xdr:row>
      <xdr:rowOff>136188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 flipH="1" flipV="1">
          <a:off x="8769086" y="4140740"/>
          <a:ext cx="389106" cy="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2076452</xdr:colOff>
      <xdr:row>19</xdr:row>
      <xdr:rowOff>142877</xdr:rowOff>
    </xdr:from>
    <xdr:to>
      <xdr:col>11</xdr:col>
      <xdr:colOff>2076453</xdr:colOff>
      <xdr:row>21</xdr:row>
      <xdr:rowOff>142877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 rot="5400000" flipH="1" flipV="1">
          <a:off x="9391653" y="4238626"/>
          <a:ext cx="400050" cy="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447677</xdr:colOff>
      <xdr:row>19</xdr:row>
      <xdr:rowOff>133352</xdr:rowOff>
    </xdr:from>
    <xdr:to>
      <xdr:col>13</xdr:col>
      <xdr:colOff>447678</xdr:colOff>
      <xdr:row>21</xdr:row>
      <xdr:rowOff>133352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 rot="5400000" flipH="1" flipV="1">
          <a:off x="10610853" y="4229101"/>
          <a:ext cx="400050" cy="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1876426</xdr:colOff>
      <xdr:row>19</xdr:row>
      <xdr:rowOff>152400</xdr:rowOff>
    </xdr:from>
    <xdr:to>
      <xdr:col>13</xdr:col>
      <xdr:colOff>1876427</xdr:colOff>
      <xdr:row>21</xdr:row>
      <xdr:rowOff>152400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 rot="5400000" flipH="1" flipV="1">
          <a:off x="12039602" y="4248149"/>
          <a:ext cx="400050" cy="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504826</xdr:colOff>
      <xdr:row>19</xdr:row>
      <xdr:rowOff>152400</xdr:rowOff>
    </xdr:from>
    <xdr:to>
      <xdr:col>14</xdr:col>
      <xdr:colOff>504827</xdr:colOff>
      <xdr:row>21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rot="5400000" flipH="1" flipV="1">
          <a:off x="13335002" y="4248149"/>
          <a:ext cx="400050" cy="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T151"/>
  <sheetViews>
    <sheetView showGridLines="0" showRowColHeaders="0" tabSelected="1" zoomScale="94" zoomScaleNormal="94" workbookViewId="0">
      <selection activeCell="M33" sqref="M33"/>
    </sheetView>
  </sheetViews>
  <sheetFormatPr defaultRowHeight="13.2"/>
  <cols>
    <col min="1" max="1" width="1.109375" customWidth="1"/>
    <col min="2" max="2" width="0.6640625" customWidth="1"/>
    <col min="3" max="3" width="1.44140625" customWidth="1"/>
    <col min="4" max="4" width="32.88671875" customWidth="1"/>
    <col min="5" max="5" width="10.44140625" customWidth="1"/>
    <col min="6" max="6" width="0.88671875" customWidth="1"/>
    <col min="7" max="7" width="1" customWidth="1"/>
    <col min="8" max="8" width="2.109375" customWidth="1"/>
    <col min="9" max="9" width="49.88671875" customWidth="1"/>
    <col min="10" max="10" width="14" customWidth="1"/>
    <col min="11" max="11" width="1.109375" customWidth="1"/>
    <col min="12" max="12" width="39.44140625" customWidth="1"/>
    <col min="13" max="13" width="3.33203125" customWidth="1"/>
    <col min="14" max="14" width="40" customWidth="1"/>
    <col min="15" max="15" width="11.88671875" customWidth="1"/>
    <col min="16" max="16" width="0.6640625" customWidth="1"/>
    <col min="17" max="17" width="4.5546875" customWidth="1"/>
    <col min="18" max="18" width="9.88671875" customWidth="1"/>
    <col min="19" max="19" width="39.5546875" customWidth="1"/>
    <col min="20" max="20" width="28" customWidth="1"/>
    <col min="21" max="21" width="5.44140625" customWidth="1"/>
  </cols>
  <sheetData>
    <row r="2" spans="3:20" ht="22.8">
      <c r="I2" s="18" t="s">
        <v>0</v>
      </c>
      <c r="J2" s="13"/>
      <c r="K2" s="13"/>
      <c r="L2" s="13"/>
    </row>
    <row r="3" spans="3:20" ht="13.8" thickBot="1"/>
    <row r="4" spans="3:20" ht="18" thickTop="1">
      <c r="C4" s="3"/>
      <c r="D4" s="76" t="s">
        <v>1</v>
      </c>
      <c r="E4" s="4"/>
      <c r="F4" s="5"/>
      <c r="H4" s="3"/>
      <c r="I4" s="19" t="s">
        <v>2</v>
      </c>
      <c r="J4" s="4"/>
      <c r="K4" s="5"/>
      <c r="N4" s="13"/>
      <c r="S4" s="14"/>
    </row>
    <row r="5" spans="3:20" ht="17.399999999999999">
      <c r="C5" s="6"/>
      <c r="D5" s="14"/>
      <c r="E5" s="14"/>
      <c r="F5" s="7"/>
      <c r="H5" s="6"/>
      <c r="I5" s="13" t="s">
        <v>3</v>
      </c>
      <c r="K5" s="7"/>
      <c r="N5" s="13"/>
    </row>
    <row r="6" spans="3:20" ht="15.6">
      <c r="C6" s="6"/>
      <c r="D6" s="14" t="s">
        <v>4</v>
      </c>
      <c r="E6" s="58">
        <v>42</v>
      </c>
      <c r="F6" s="59"/>
      <c r="G6" s="2"/>
      <c r="H6" s="6"/>
      <c r="K6" s="7"/>
    </row>
    <row r="7" spans="3:20" ht="15.6">
      <c r="C7" s="12"/>
      <c r="D7" s="20"/>
      <c r="E7" s="60"/>
      <c r="F7" s="61"/>
      <c r="G7" s="1"/>
      <c r="H7" s="6"/>
      <c r="I7" s="14" t="s">
        <v>5</v>
      </c>
      <c r="J7" s="24">
        <f>IF(D127&gt;0.1,"****",(E6/200)*(7.353*LOG((8*E6)/E8) - 6.386))</f>
        <v>2.0951068211913566</v>
      </c>
      <c r="K7" s="25"/>
      <c r="L7" s="14"/>
      <c r="M7" s="14"/>
      <c r="N7" s="14"/>
      <c r="O7" s="24"/>
      <c r="T7" s="9"/>
    </row>
    <row r="8" spans="3:20" ht="15.6">
      <c r="C8" s="6"/>
      <c r="D8" s="14" t="s">
        <v>6</v>
      </c>
      <c r="E8" s="58">
        <v>2</v>
      </c>
      <c r="F8" s="59"/>
      <c r="G8" s="2"/>
      <c r="H8" s="6"/>
      <c r="I8" s="14" t="s">
        <v>7</v>
      </c>
      <c r="J8" s="26">
        <f>IF(D127&gt;0.1,"****",2*PI()*E11*J7)</f>
        <v>184.29522154233766</v>
      </c>
      <c r="K8" s="25"/>
      <c r="L8" s="14"/>
      <c r="M8" s="14"/>
      <c r="N8" s="14"/>
      <c r="O8" s="26"/>
      <c r="T8" s="11"/>
    </row>
    <row r="9" spans="3:20" ht="15.6">
      <c r="C9" s="6"/>
      <c r="D9" s="14"/>
      <c r="E9" s="58"/>
      <c r="F9" s="59"/>
      <c r="G9" s="2"/>
      <c r="H9" s="6"/>
      <c r="I9" s="14" t="s">
        <v>8</v>
      </c>
      <c r="J9" s="54">
        <f>IF(D128&gt;0.1,"****",2*PI()*E12*J7)</f>
        <v>368.59044308467531</v>
      </c>
      <c r="K9" s="25"/>
      <c r="L9" s="14"/>
      <c r="M9" s="14"/>
      <c r="N9" s="14"/>
      <c r="O9" s="26"/>
      <c r="T9" s="11"/>
    </row>
    <row r="10" spans="3:20" ht="15.6">
      <c r="C10" s="12"/>
      <c r="D10" s="22"/>
      <c r="E10" s="62"/>
      <c r="F10" s="61"/>
      <c r="G10" s="1"/>
      <c r="H10" s="12"/>
      <c r="I10" s="22"/>
      <c r="J10" s="23"/>
      <c r="K10" s="27"/>
      <c r="L10" s="14"/>
      <c r="M10" s="14"/>
      <c r="N10" s="14"/>
      <c r="O10" s="32"/>
      <c r="T10" s="1"/>
    </row>
    <row r="11" spans="3:20" ht="15.6">
      <c r="C11" s="6"/>
      <c r="D11" s="14" t="s">
        <v>9</v>
      </c>
      <c r="E11" s="58">
        <v>14</v>
      </c>
      <c r="F11" s="59"/>
      <c r="G11" s="2"/>
      <c r="H11" s="6"/>
      <c r="I11" s="14" t="s">
        <v>10</v>
      </c>
      <c r="J11" s="28">
        <f>IF(D127&gt;0.1,"****",(1/((4*PI()^2)*E11^2*1000000000000*J7*0.000001))*1000000000000)</f>
        <v>61.684780135431119</v>
      </c>
      <c r="K11" s="25"/>
      <c r="L11" s="14"/>
      <c r="M11" s="14"/>
      <c r="N11" s="14"/>
      <c r="O11" s="28"/>
      <c r="T11" s="10"/>
    </row>
    <row r="12" spans="3:20" ht="15.6">
      <c r="C12" s="6"/>
      <c r="D12" s="14" t="s">
        <v>11</v>
      </c>
      <c r="E12" s="63">
        <v>28</v>
      </c>
      <c r="F12" s="59"/>
      <c r="G12" s="2"/>
      <c r="H12" s="6"/>
      <c r="I12" s="14" t="s">
        <v>12</v>
      </c>
      <c r="J12" s="55">
        <f>IF(D128&gt;0.1,"****",(1/((4*PI()^2)*E12^2*1000000000000*J7*0.000001))*1000000000000)</f>
        <v>15.42119503385778</v>
      </c>
      <c r="K12" s="25"/>
      <c r="L12" s="14"/>
      <c r="M12" s="14"/>
      <c r="N12" s="14"/>
      <c r="O12" s="28"/>
      <c r="T12" s="10"/>
    </row>
    <row r="13" spans="3:20" ht="15.6">
      <c r="C13" s="6"/>
      <c r="D13" s="14"/>
      <c r="E13" s="58"/>
      <c r="F13" s="59"/>
      <c r="G13" s="2"/>
      <c r="H13" s="6"/>
      <c r="I13" s="14"/>
      <c r="J13" s="28"/>
      <c r="K13" s="25"/>
      <c r="L13" s="14"/>
      <c r="M13" s="14"/>
      <c r="N13" s="14"/>
      <c r="O13" s="28"/>
      <c r="T13" s="10"/>
    </row>
    <row r="14" spans="3:20" ht="15.6">
      <c r="C14" s="12"/>
      <c r="D14" s="22"/>
      <c r="E14" s="64"/>
      <c r="F14" s="65"/>
      <c r="H14" s="12"/>
      <c r="I14" s="22"/>
      <c r="J14" s="23"/>
      <c r="K14" s="27"/>
      <c r="L14" s="14"/>
      <c r="M14" s="14"/>
      <c r="N14" s="14"/>
      <c r="O14" s="32"/>
      <c r="T14" s="1"/>
    </row>
    <row r="15" spans="3:20" ht="15.6">
      <c r="C15" s="15"/>
      <c r="D15" s="105" t="s">
        <v>13</v>
      </c>
      <c r="E15" s="66">
        <v>100</v>
      </c>
      <c r="F15" s="67"/>
      <c r="H15" s="6"/>
      <c r="I15" s="14" t="s">
        <v>14</v>
      </c>
      <c r="J15" s="24">
        <f>IF(D127&gt;0.1,"****",9.96*0.0001*(E11)^0.5*(((E6/12*PI()))/E8)+D137)</f>
        <v>7.8514964864931369E-2</v>
      </c>
      <c r="K15" s="25"/>
      <c r="L15" s="14"/>
      <c r="M15" s="14"/>
      <c r="N15" s="14"/>
      <c r="O15" s="24"/>
      <c r="T15" s="9"/>
    </row>
    <row r="16" spans="3:20" ht="15.6">
      <c r="C16" s="6"/>
      <c r="D16" s="14"/>
      <c r="E16" s="58"/>
      <c r="F16" s="68"/>
      <c r="H16" s="6"/>
      <c r="I16" s="14" t="s">
        <v>15</v>
      </c>
      <c r="J16" s="56">
        <f>IF(D128&gt;0.1,"****",9.96*0.0001*(E12)^0.5*(((E6/12*PI()))/E8)+D138)</f>
        <v>0.4791817925220741</v>
      </c>
      <c r="K16" s="25"/>
      <c r="L16" s="14"/>
      <c r="M16" s="14"/>
      <c r="N16" s="14"/>
      <c r="O16" s="24"/>
      <c r="T16" s="9"/>
    </row>
    <row r="17" spans="3:20" ht="15.6">
      <c r="C17" s="6"/>
      <c r="D17" s="14" t="s">
        <v>16</v>
      </c>
      <c r="E17" s="69">
        <v>3500</v>
      </c>
      <c r="F17" s="68"/>
      <c r="H17" s="6"/>
      <c r="I17" s="14"/>
      <c r="J17" s="24"/>
      <c r="K17" s="25"/>
      <c r="L17" s="14"/>
      <c r="M17" s="14"/>
      <c r="N17" s="14"/>
      <c r="O17" s="24"/>
      <c r="T17" s="9"/>
    </row>
    <row r="18" spans="3:20" ht="15.6">
      <c r="C18" s="6"/>
      <c r="D18" s="14" t="s">
        <v>17</v>
      </c>
      <c r="E18" s="69"/>
      <c r="F18" s="68"/>
      <c r="H18" s="12"/>
      <c r="I18" s="22"/>
      <c r="J18" s="22"/>
      <c r="K18" s="27"/>
      <c r="L18" s="14"/>
      <c r="M18" s="14"/>
      <c r="N18" s="14"/>
      <c r="O18" s="14"/>
    </row>
    <row r="19" spans="3:20" ht="15.6">
      <c r="C19" s="6"/>
      <c r="E19" s="70"/>
      <c r="F19" s="68"/>
      <c r="H19" s="6"/>
      <c r="I19" s="14" t="s">
        <v>18</v>
      </c>
      <c r="J19" s="29">
        <f>IF(D127&gt;0.1,"****",(3.38*0.00000001*(E11^4)*(((PI()*E6^2/4))/144)^2))</f>
        <v>0.12019344499062164</v>
      </c>
      <c r="K19" s="25"/>
      <c r="L19" s="14"/>
      <c r="M19" s="14"/>
      <c r="N19" s="14"/>
      <c r="O19" s="29"/>
      <c r="T19" s="9"/>
    </row>
    <row r="20" spans="3:20" ht="15.6">
      <c r="C20" s="6"/>
      <c r="D20" s="14" t="s">
        <v>19</v>
      </c>
      <c r="E20" s="71">
        <v>1300</v>
      </c>
      <c r="F20" s="68"/>
      <c r="H20" s="6"/>
      <c r="I20" s="14" t="s">
        <v>20</v>
      </c>
      <c r="J20" s="57">
        <f>IF(D128&gt;0.1,"****",(3.38*0.00000001*(E12^4)*(((PI()*E6^2/4))/144)^2))</f>
        <v>1.9230951198499462</v>
      </c>
      <c r="K20" s="25"/>
      <c r="L20" s="14"/>
      <c r="M20" s="14"/>
      <c r="N20" s="14"/>
      <c r="O20" s="29"/>
      <c r="T20" s="9"/>
    </row>
    <row r="21" spans="3:20" ht="15.6">
      <c r="C21" s="6"/>
      <c r="D21" s="14" t="s">
        <v>17</v>
      </c>
      <c r="E21" s="72"/>
      <c r="F21" s="68"/>
      <c r="H21" s="6"/>
      <c r="I21" s="14"/>
      <c r="J21" s="29"/>
      <c r="K21" s="25"/>
      <c r="L21" s="14"/>
      <c r="M21" s="14"/>
      <c r="N21" s="14"/>
      <c r="O21" s="29"/>
      <c r="T21" s="9"/>
    </row>
    <row r="22" spans="3:20" ht="15.6">
      <c r="C22" s="36"/>
      <c r="D22" s="48"/>
      <c r="E22" s="73"/>
      <c r="F22" s="74"/>
      <c r="G22" s="2"/>
      <c r="H22" s="12"/>
      <c r="I22" s="22"/>
      <c r="J22" s="23"/>
      <c r="K22" s="27"/>
      <c r="L22" s="14"/>
      <c r="M22" s="14"/>
      <c r="N22" s="14"/>
      <c r="O22" s="32"/>
      <c r="T22" s="1"/>
    </row>
    <row r="23" spans="3:20" ht="15.6">
      <c r="C23" s="6"/>
      <c r="D23" s="14" t="s">
        <v>21</v>
      </c>
      <c r="E23" s="58">
        <v>50</v>
      </c>
      <c r="F23" s="75"/>
      <c r="G23" s="2"/>
      <c r="H23" s="6"/>
      <c r="I23" s="14" t="s">
        <v>22</v>
      </c>
      <c r="J23" s="28">
        <f>IF(D127&gt;0.1,"****",(J19/(J19+J15))*100)</f>
        <v>60.487346800265676</v>
      </c>
      <c r="K23" s="25"/>
      <c r="L23" s="14" t="s">
        <v>23</v>
      </c>
      <c r="M23" s="14"/>
      <c r="N23" s="14" t="s">
        <v>24</v>
      </c>
      <c r="O23" s="28" t="s">
        <v>25</v>
      </c>
      <c r="T23" s="10"/>
    </row>
    <row r="24" spans="3:20" ht="16.2" thickBot="1">
      <c r="C24" s="6"/>
      <c r="E24" s="70"/>
      <c r="F24" s="75"/>
      <c r="G24" s="2"/>
      <c r="H24" s="6"/>
      <c r="I24" s="14" t="s">
        <v>26</v>
      </c>
      <c r="J24" s="55">
        <f>IF(D128&gt;0.1,"****",(J20/(J20+J16))*100)</f>
        <v>80.053015951065873</v>
      </c>
      <c r="K24" s="25"/>
      <c r="L24" s="14"/>
      <c r="M24" s="14"/>
      <c r="N24" s="14"/>
      <c r="O24" s="28"/>
      <c r="T24" s="10"/>
    </row>
    <row r="25" spans="3:20" ht="16.8" thickTop="1" thickBot="1">
      <c r="C25" s="4"/>
      <c r="D25" s="4"/>
      <c r="E25" s="4"/>
      <c r="F25" s="4"/>
      <c r="H25" s="12"/>
      <c r="I25" s="22"/>
      <c r="J25" s="23"/>
      <c r="K25" s="27"/>
      <c r="L25" s="98" t="str">
        <f>IF(J9="****","     Loop diameter for F max exceeds small loop criteria ","")</f>
        <v/>
      </c>
      <c r="M25" s="14"/>
      <c r="N25" s="14"/>
      <c r="O25" s="32"/>
      <c r="T25" s="1"/>
    </row>
    <row r="26" spans="3:20" ht="16.2" thickTop="1">
      <c r="D26" s="3"/>
      <c r="E26" s="4"/>
      <c r="F26" s="80"/>
      <c r="G26" s="2"/>
      <c r="H26" s="6"/>
      <c r="I26" s="14" t="s">
        <v>27</v>
      </c>
      <c r="J26" s="28">
        <f>IF(D127&gt;0.1,"****",10*LOG(1.5 * J23/100))</f>
        <v>-0.42244205788514644</v>
      </c>
      <c r="K26" s="25"/>
      <c r="L26" s="98" t="str">
        <f>IF(J9="****","     Reduce diameter or decrease maximum frequency","")</f>
        <v/>
      </c>
      <c r="M26" s="14"/>
      <c r="O26" s="32"/>
      <c r="T26" s="10"/>
    </row>
    <row r="27" spans="3:20" ht="15.6">
      <c r="D27" s="81" t="s">
        <v>28</v>
      </c>
      <c r="E27" s="14"/>
      <c r="F27" s="82"/>
      <c r="G27" s="2"/>
      <c r="H27" s="6"/>
      <c r="I27" s="14" t="s">
        <v>29</v>
      </c>
      <c r="J27" s="55">
        <f>IF(D128&gt;0.1,"****",10*LOG(1.5 * J24/100))</f>
        <v>0.79468957412587637</v>
      </c>
      <c r="K27" s="25"/>
      <c r="L27" s="14"/>
      <c r="M27" s="14"/>
      <c r="N27" s="14"/>
      <c r="O27" s="28"/>
      <c r="T27" s="10"/>
    </row>
    <row r="28" spans="3:20" ht="15.6">
      <c r="D28" s="81" t="s">
        <v>30</v>
      </c>
      <c r="E28" s="32"/>
      <c r="F28" s="82"/>
      <c r="G28" s="2"/>
      <c r="H28" s="12"/>
      <c r="I28" s="22"/>
      <c r="J28" s="23"/>
      <c r="K28" s="27"/>
      <c r="L28" s="14"/>
      <c r="M28" s="14"/>
      <c r="N28" s="14"/>
      <c r="O28" s="32"/>
      <c r="T28" s="1"/>
    </row>
    <row r="29" spans="3:20" ht="15.6">
      <c r="D29" s="81" t="s">
        <v>31</v>
      </c>
      <c r="E29" s="32" t="str">
        <f>E23&amp;" ohms"</f>
        <v>50 ohms</v>
      </c>
      <c r="F29" s="82"/>
      <c r="G29" s="2"/>
      <c r="H29" s="6"/>
      <c r="I29" s="14" t="s">
        <v>32</v>
      </c>
      <c r="J29" s="26">
        <f>IF(D127&gt;0.1,"****",J8/(2*(J19+J15)))</f>
        <v>463.73281753979938</v>
      </c>
      <c r="K29" s="25"/>
      <c r="L29" s="14"/>
      <c r="M29" s="14"/>
      <c r="N29" s="14"/>
      <c r="O29" s="26"/>
      <c r="T29" s="11"/>
    </row>
    <row r="30" spans="3:20" ht="16.2" thickBot="1">
      <c r="D30" s="8"/>
      <c r="E30" s="83"/>
      <c r="F30" s="84"/>
      <c r="G30" s="2"/>
      <c r="H30" s="6"/>
      <c r="I30" s="14" t="s">
        <v>33</v>
      </c>
      <c r="J30" s="54">
        <f>IF(D128&gt;0.1,"****",J9/(2*(J20+J16)))</f>
        <v>76.716893291191667</v>
      </c>
      <c r="K30" s="25"/>
      <c r="L30" s="14"/>
      <c r="M30" s="14"/>
      <c r="N30" s="14"/>
      <c r="O30" s="26"/>
      <c r="T30" s="11"/>
    </row>
    <row r="31" spans="3:20" ht="16.2" thickTop="1">
      <c r="D31" s="100"/>
      <c r="E31" s="101"/>
      <c r="F31" s="80"/>
      <c r="G31" s="2"/>
      <c r="H31" s="12"/>
      <c r="I31" s="22"/>
      <c r="J31" s="23"/>
      <c r="K31" s="27"/>
      <c r="T31" s="1"/>
    </row>
    <row r="32" spans="3:20" ht="15.6">
      <c r="D32" s="103" t="s">
        <v>34</v>
      </c>
      <c r="E32" s="104"/>
      <c r="F32" s="82"/>
      <c r="G32" s="2"/>
      <c r="H32" s="6"/>
      <c r="I32" s="14" t="s">
        <v>35</v>
      </c>
      <c r="J32" s="26">
        <f>IF(D127&gt;0.1,"****",(E11*1000000/J29)/1000)</f>
        <v>30.189797811319373</v>
      </c>
      <c r="K32" s="25"/>
      <c r="L32" s="14"/>
      <c r="M32" s="14"/>
      <c r="N32" s="14"/>
      <c r="O32" s="26"/>
      <c r="T32" s="11"/>
    </row>
    <row r="33" spans="4:20" ht="15.6">
      <c r="D33" s="103" t="s">
        <v>36</v>
      </c>
      <c r="E33" s="104"/>
      <c r="F33" s="82"/>
      <c r="G33" s="2"/>
      <c r="H33" s="6"/>
      <c r="I33" s="14" t="s">
        <v>37</v>
      </c>
      <c r="J33" s="54">
        <f>IF(D128&gt;0.1,"****",(E12*1000000/J30)/1000)</f>
        <v>364.97828312365789</v>
      </c>
      <c r="K33" s="25"/>
      <c r="L33" s="14"/>
      <c r="M33" s="14"/>
      <c r="N33" s="14"/>
      <c r="O33" s="26"/>
      <c r="T33" s="11"/>
    </row>
    <row r="34" spans="4:20" ht="16.2" thickBot="1">
      <c r="D34" s="8"/>
      <c r="E34" s="83"/>
      <c r="F34" s="84"/>
      <c r="G34" s="2"/>
      <c r="H34" s="12"/>
      <c r="I34" s="22"/>
      <c r="J34" s="23"/>
      <c r="K34" s="27"/>
      <c r="T34" s="1"/>
    </row>
    <row r="35" spans="4:20" ht="16.2" thickTop="1">
      <c r="E35" s="1"/>
      <c r="F35" s="1"/>
      <c r="G35" s="2"/>
      <c r="H35" s="6"/>
      <c r="I35" s="14" t="s">
        <v>38</v>
      </c>
      <c r="J35" s="28">
        <f>IF(D127&gt;0.1,"****",0.892 *E6/3.281/2)</f>
        <v>5.7092349893325203</v>
      </c>
      <c r="K35" s="25"/>
      <c r="L35" s="14"/>
      <c r="M35" s="14"/>
      <c r="N35" s="14"/>
      <c r="O35" s="28"/>
      <c r="T35" s="10"/>
    </row>
    <row r="36" spans="4:20" ht="15.6">
      <c r="E36" s="1"/>
      <c r="F36" s="1"/>
      <c r="G36" s="2"/>
      <c r="H36" s="12"/>
      <c r="I36" s="22"/>
      <c r="J36" s="23"/>
      <c r="K36" s="27"/>
      <c r="T36" s="1"/>
    </row>
    <row r="37" spans="4:20" ht="15.6">
      <c r="E37" s="1"/>
      <c r="F37" s="1"/>
      <c r="G37" s="2"/>
      <c r="H37" s="6"/>
      <c r="I37" s="14" t="s">
        <v>39</v>
      </c>
      <c r="J37" s="28">
        <f>IF(D127&gt;0.1,"****",J11-J35)</f>
        <v>55.975545146098597</v>
      </c>
      <c r="K37" s="25"/>
      <c r="T37" s="10"/>
    </row>
    <row r="38" spans="4:20" ht="15.6">
      <c r="E38" s="1"/>
      <c r="F38" s="1"/>
      <c r="G38" s="2"/>
      <c r="H38" s="6"/>
      <c r="I38" s="14" t="s">
        <v>40</v>
      </c>
      <c r="J38" s="55">
        <f>IF(D128&gt;0.1,"****",J12-J35)</f>
        <v>9.7119600445252594</v>
      </c>
      <c r="K38" s="25"/>
      <c r="L38" s="14" t="str">
        <f>IF((J38&lt;0),"Loop above self resonance   Invalid results","")</f>
        <v/>
      </c>
      <c r="M38" s="14"/>
      <c r="N38" s="14"/>
      <c r="O38" s="28"/>
      <c r="T38" s="10"/>
    </row>
    <row r="39" spans="4:20" ht="15.6">
      <c r="E39" s="1"/>
      <c r="F39" s="1"/>
      <c r="G39" s="2"/>
      <c r="H39" s="12"/>
      <c r="I39" s="22"/>
      <c r="J39" s="23"/>
      <c r="K39" s="27"/>
      <c r="L39" s="14"/>
      <c r="M39" s="14"/>
      <c r="N39" s="14"/>
      <c r="O39" s="32"/>
      <c r="T39" s="1"/>
    </row>
    <row r="40" spans="4:20" ht="15.6">
      <c r="E40" s="1"/>
      <c r="F40" s="1"/>
      <c r="G40" s="2"/>
      <c r="H40" s="6"/>
      <c r="I40" s="14" t="s">
        <v>41</v>
      </c>
      <c r="J40" s="26">
        <f>IF(D127&gt;0.1,"****",((E15*D144)^0.5)*1)</f>
        <v>4134.337730397694</v>
      </c>
      <c r="K40" s="25"/>
      <c r="L40" s="14"/>
      <c r="M40" s="14"/>
      <c r="N40" s="14"/>
      <c r="O40" s="26"/>
      <c r="T40" s="11"/>
    </row>
    <row r="41" spans="4:20" ht="15.6">
      <c r="D41" s="40" t="s">
        <v>42</v>
      </c>
      <c r="E41" s="1"/>
      <c r="F41" s="1"/>
      <c r="G41" s="2"/>
      <c r="H41" s="6"/>
      <c r="I41" s="14" t="s">
        <v>43</v>
      </c>
      <c r="J41" s="54">
        <f>IF(D128&gt;0.1,"****",((E15*D145)^0.5)*1)</f>
        <v>2378.11327275553</v>
      </c>
      <c r="K41" s="25"/>
      <c r="L41" s="14"/>
      <c r="M41" s="14"/>
      <c r="N41" s="14"/>
      <c r="O41" s="26"/>
      <c r="T41" s="11"/>
    </row>
    <row r="42" spans="4:20" ht="15.6">
      <c r="E42" s="1"/>
      <c r="F42" s="1"/>
      <c r="G42" s="2"/>
      <c r="H42" s="41"/>
      <c r="I42" s="97"/>
      <c r="J42" s="99"/>
      <c r="K42" s="50"/>
      <c r="L42" s="14"/>
      <c r="M42" s="14"/>
      <c r="N42" s="14"/>
      <c r="O42" s="26"/>
      <c r="T42" s="11"/>
    </row>
    <row r="43" spans="4:20" ht="15.6">
      <c r="E43" s="1"/>
      <c r="F43" s="1"/>
      <c r="G43" s="2"/>
      <c r="H43" s="6"/>
      <c r="I43" s="102" t="s">
        <v>44</v>
      </c>
      <c r="J43" s="32"/>
      <c r="K43" s="25"/>
      <c r="L43" s="14"/>
      <c r="M43" s="14"/>
      <c r="N43" s="14"/>
      <c r="O43" s="32"/>
      <c r="T43" s="1"/>
    </row>
    <row r="44" spans="4:20" ht="15.6">
      <c r="E44" s="1"/>
      <c r="F44" s="1"/>
      <c r="G44" s="2"/>
      <c r="H44" s="6"/>
      <c r="I44" s="14" t="s">
        <v>45</v>
      </c>
      <c r="J44" s="28">
        <f>IF(D127&gt;0.1,"****",(1.5*J40/70000)*1.414)</f>
        <v>0.12527043323105014</v>
      </c>
      <c r="K44" s="25"/>
      <c r="T44" s="10"/>
    </row>
    <row r="45" spans="4:20" ht="15.6">
      <c r="E45" s="1"/>
      <c r="F45" s="1"/>
      <c r="G45" s="2"/>
      <c r="H45" s="6"/>
      <c r="I45" s="14" t="s">
        <v>46</v>
      </c>
      <c r="J45" s="55">
        <f>IF(D128&gt;0.1,"****",(1.5*J41/70000)*1.414)</f>
        <v>7.2056832164492546E-2</v>
      </c>
      <c r="K45" s="25"/>
      <c r="L45" s="14"/>
      <c r="M45" s="14"/>
      <c r="N45" s="14"/>
      <c r="O45" s="32"/>
      <c r="T45" s="10"/>
    </row>
    <row r="46" spans="4:20" ht="15.6">
      <c r="E46" s="1"/>
      <c r="F46" s="1"/>
      <c r="G46" s="2"/>
      <c r="H46" s="15"/>
      <c r="I46" s="14" t="s">
        <v>47</v>
      </c>
      <c r="J46" s="30"/>
      <c r="K46" s="31"/>
      <c r="L46" s="14"/>
      <c r="M46" s="14"/>
      <c r="N46" s="14"/>
      <c r="O46" s="28"/>
      <c r="T46" s="1"/>
    </row>
    <row r="47" spans="4:20" ht="15.6">
      <c r="E47" s="1"/>
      <c r="F47" s="1"/>
      <c r="G47" s="2"/>
      <c r="H47" s="12"/>
      <c r="I47" s="22"/>
      <c r="J47" s="23"/>
      <c r="K47" s="27"/>
      <c r="L47" s="14"/>
      <c r="M47" s="14"/>
      <c r="N47" s="14"/>
      <c r="O47" s="32"/>
      <c r="T47" s="1"/>
    </row>
    <row r="48" spans="4:20" ht="15.6">
      <c r="E48" s="1"/>
      <c r="F48" s="1"/>
      <c r="G48" s="2"/>
      <c r="H48" s="6"/>
      <c r="I48" s="14" t="s">
        <v>48</v>
      </c>
      <c r="J48" s="26">
        <f>IF(D127&gt;0.1,"****",D144/1000)</f>
        <v>170.92748468989956</v>
      </c>
      <c r="K48" s="25"/>
      <c r="L48" s="14"/>
      <c r="M48" s="14"/>
      <c r="N48" s="14"/>
      <c r="O48" s="32"/>
      <c r="T48" s="1"/>
    </row>
    <row r="49" spans="5:20" ht="15.6">
      <c r="E49" s="1"/>
      <c r="F49" s="1"/>
      <c r="G49" s="2"/>
      <c r="H49" s="6"/>
      <c r="I49" s="14" t="s">
        <v>49</v>
      </c>
      <c r="J49" s="54">
        <f>IF(D128&gt;0.1,"****",D145/1000)</f>
        <v>56.554227380560178</v>
      </c>
      <c r="K49" s="25"/>
      <c r="L49" s="14"/>
      <c r="M49" s="14"/>
      <c r="N49" s="14"/>
      <c r="O49" s="32"/>
      <c r="T49" s="1"/>
    </row>
    <row r="50" spans="5:20" ht="15.6">
      <c r="E50" s="1"/>
      <c r="F50" s="1"/>
      <c r="G50" s="2"/>
      <c r="H50" s="6"/>
      <c r="I50" s="14"/>
      <c r="J50" s="32"/>
      <c r="K50" s="25"/>
      <c r="L50" s="14"/>
      <c r="M50" s="14"/>
      <c r="N50" s="14"/>
      <c r="O50" s="32"/>
    </row>
    <row r="51" spans="5:20" ht="15.6">
      <c r="E51" s="1"/>
      <c r="F51" s="1"/>
      <c r="G51" s="2"/>
      <c r="H51" s="41"/>
      <c r="I51" s="97" t="s">
        <v>50</v>
      </c>
      <c r="J51" s="49">
        <f>IF(D127&gt;0.1,"****",(E15/(J15+J19))^0.5)</f>
        <v>22.43323345986984</v>
      </c>
      <c r="K51" s="50"/>
      <c r="L51" s="14"/>
      <c r="M51" s="14"/>
      <c r="N51" s="14"/>
      <c r="O51" s="14"/>
    </row>
    <row r="52" spans="5:20" ht="15.6">
      <c r="E52" s="1"/>
      <c r="F52" s="1"/>
      <c r="G52" s="2"/>
      <c r="H52" s="6"/>
      <c r="I52" s="14" t="s">
        <v>51</v>
      </c>
      <c r="J52" s="55">
        <f>IF(D128&gt;0.1,"****",(E15/(J16+J20))^0.5)</f>
        <v>6.4519124610325624</v>
      </c>
      <c r="K52" s="25"/>
      <c r="L52" s="14"/>
      <c r="M52" s="14"/>
      <c r="N52" s="14"/>
      <c r="O52" s="14"/>
    </row>
    <row r="53" spans="5:20" ht="15.6">
      <c r="E53" s="1"/>
      <c r="F53" s="1"/>
      <c r="G53" s="2"/>
      <c r="H53" s="36"/>
      <c r="I53" s="37"/>
      <c r="J53" s="38"/>
      <c r="K53" s="39"/>
      <c r="L53" s="21"/>
      <c r="M53" s="21"/>
      <c r="N53" s="21"/>
      <c r="O53" s="26"/>
    </row>
    <row r="54" spans="5:20" ht="15.6">
      <c r="E54" s="1"/>
      <c r="F54" s="1"/>
      <c r="G54" s="2"/>
      <c r="H54" s="6"/>
      <c r="I54" s="14" t="s">
        <v>52</v>
      </c>
      <c r="J54" s="28">
        <f>IF(D127&gt;0.1,"****",((1-4.2*D127)*D137*J51^2)/1)</f>
        <v>23.095376650912922</v>
      </c>
      <c r="K54" s="33"/>
      <c r="L54" s="21"/>
      <c r="M54" s="21"/>
      <c r="N54" s="21"/>
      <c r="O54" s="21"/>
    </row>
    <row r="55" spans="5:20" ht="15.6">
      <c r="E55" s="1"/>
      <c r="F55" s="1"/>
      <c r="G55" s="2"/>
      <c r="H55" s="6"/>
      <c r="I55" s="14" t="s">
        <v>53</v>
      </c>
      <c r="J55" s="55">
        <f>IF(D128&gt;0.1,"****",(1-4.2*D128)*(D138*J52^2)/1)</f>
        <v>10.90300479067327</v>
      </c>
      <c r="K55" s="33"/>
      <c r="L55" s="21"/>
      <c r="M55" s="21"/>
      <c r="N55" s="21"/>
      <c r="O55" s="21"/>
    </row>
    <row r="56" spans="5:20" ht="15.6">
      <c r="E56" s="1"/>
      <c r="F56" s="1"/>
      <c r="G56" s="2"/>
      <c r="H56" s="6"/>
      <c r="I56" s="14"/>
      <c r="J56" s="28"/>
      <c r="K56" s="33"/>
      <c r="L56" s="21"/>
      <c r="M56" s="21"/>
      <c r="N56" s="21"/>
      <c r="O56" s="21"/>
    </row>
    <row r="57" spans="5:20" ht="15.6">
      <c r="E57" s="1"/>
      <c r="F57" s="1"/>
      <c r="G57" s="2"/>
      <c r="H57" s="41"/>
      <c r="I57" s="97" t="s">
        <v>54</v>
      </c>
      <c r="J57" s="49">
        <f>IF(D127&gt;0.1,"****",(E15)-(E15)*J23*0.01-J54)</f>
        <v>16.417276548821402</v>
      </c>
      <c r="K57" s="51"/>
      <c r="L57" s="21"/>
      <c r="M57" s="21"/>
      <c r="N57" s="21"/>
      <c r="O57" s="21"/>
    </row>
    <row r="58" spans="5:20" ht="15.6">
      <c r="E58" s="1"/>
      <c r="F58" s="1"/>
      <c r="G58" s="2"/>
      <c r="H58" s="6"/>
      <c r="I58" s="14" t="s">
        <v>55</v>
      </c>
      <c r="J58" s="55">
        <f>IF(D128&gt;0.1,"****",(E15)-(E15)*J24*0.01-J55)</f>
        <v>9.0439792582608565</v>
      </c>
      <c r="K58" s="7"/>
      <c r="O58" s="21"/>
    </row>
    <row r="59" spans="5:20" ht="15.6">
      <c r="E59" s="1"/>
      <c r="F59" s="1"/>
      <c r="G59" s="2"/>
      <c r="H59" s="6"/>
      <c r="I59" s="14"/>
      <c r="J59" s="106"/>
      <c r="K59" s="52"/>
      <c r="O59" s="21"/>
    </row>
    <row r="60" spans="5:20" ht="15.6">
      <c r="E60" s="1"/>
      <c r="F60" s="1"/>
      <c r="G60" s="2"/>
      <c r="H60" s="41"/>
      <c r="I60" s="97" t="s">
        <v>56</v>
      </c>
      <c r="J60" s="54">
        <f>IF(D127&lt;0.1,IF(D128&lt;0.1,D151,"****"))</f>
        <v>11.519979088222778</v>
      </c>
      <c r="K60" s="42"/>
    </row>
    <row r="61" spans="5:20" ht="13.8" thickBot="1">
      <c r="E61" s="1"/>
      <c r="F61" s="1"/>
      <c r="G61" s="2"/>
      <c r="H61" s="8"/>
      <c r="I61" s="34"/>
      <c r="J61" s="34"/>
      <c r="K61" s="35"/>
    </row>
    <row r="62" spans="5:20" ht="18" thickTop="1">
      <c r="E62" s="1"/>
      <c r="F62" s="1"/>
      <c r="G62" s="2"/>
      <c r="I62" s="16" t="str">
        <f>IF(D127&gt;0.1,"Loop dimensions exceed small loop criteria","")</f>
        <v/>
      </c>
      <c r="J62" s="16"/>
      <c r="K62" s="17"/>
      <c r="L62" s="17"/>
    </row>
    <row r="63" spans="5:20" ht="17.399999999999999">
      <c r="E63" s="1"/>
      <c r="F63" s="1"/>
      <c r="G63" s="2"/>
      <c r="I63" s="16" t="str">
        <f>IF(D127&gt;0.1,"Reduce frequency or loop diameter","")</f>
        <v/>
      </c>
    </row>
    <row r="64" spans="5:20">
      <c r="E64" s="1"/>
      <c r="F64" s="1"/>
      <c r="G64" s="2"/>
    </row>
    <row r="65" spans="5:7">
      <c r="E65" s="1"/>
      <c r="F65" s="1"/>
      <c r="G65" s="2"/>
    </row>
    <row r="66" spans="5:7">
      <c r="E66" s="1"/>
      <c r="G66" s="2"/>
    </row>
    <row r="67" spans="5:7">
      <c r="E67" s="1"/>
      <c r="F67" s="1"/>
      <c r="G67" s="2"/>
    </row>
    <row r="68" spans="5:7">
      <c r="E68" s="1"/>
      <c r="F68" s="1"/>
      <c r="G68" s="2"/>
    </row>
    <row r="69" spans="5:7">
      <c r="E69" s="1"/>
      <c r="F69" s="1"/>
      <c r="G69" s="2"/>
    </row>
    <row r="70" spans="5:7">
      <c r="E70" s="1"/>
      <c r="F70" s="1"/>
      <c r="G70" s="2"/>
    </row>
    <row r="71" spans="5:7">
      <c r="E71" s="1"/>
      <c r="F71" s="1"/>
      <c r="G71" s="2"/>
    </row>
    <row r="72" spans="5:7">
      <c r="E72" s="1"/>
      <c r="F72" s="1"/>
      <c r="G72" s="2"/>
    </row>
    <row r="73" spans="5:7">
      <c r="E73" s="1"/>
      <c r="F73" s="1"/>
      <c r="G73" s="2"/>
    </row>
    <row r="98" spans="4:14">
      <c r="D98">
        <v>7</v>
      </c>
      <c r="I98" s="1">
        <v>3550</v>
      </c>
      <c r="J98" s="47">
        <v>2000</v>
      </c>
      <c r="L98">
        <v>4970</v>
      </c>
      <c r="N98" s="85">
        <f>0.03477*D98^4-2.588*D98^3+62.75*D98^2-678.8*D98+7485</f>
        <v>5003.9487700000009</v>
      </c>
    </row>
    <row r="99" spans="4:14">
      <c r="D99">
        <v>8</v>
      </c>
      <c r="I99" s="1">
        <v>3500</v>
      </c>
      <c r="J99" s="47">
        <v>1960</v>
      </c>
      <c r="L99">
        <v>4900</v>
      </c>
      <c r="N99" s="85">
        <f t="shared" ref="N99:N118" si="0">0.03477*D99^4-2.588*D99^3+62.75*D99^2-678.8*D99+7485</f>
        <v>4887.9619200000006</v>
      </c>
    </row>
    <row r="100" spans="4:14">
      <c r="D100">
        <v>9</v>
      </c>
      <c r="I100" s="1">
        <v>3450</v>
      </c>
      <c r="J100" s="47">
        <v>1920</v>
      </c>
      <c r="L100">
        <v>4830</v>
      </c>
      <c r="N100" s="85">
        <f t="shared" si="0"/>
        <v>4800.0239700000002</v>
      </c>
    </row>
    <row r="101" spans="4:14">
      <c r="D101">
        <v>10</v>
      </c>
      <c r="I101" s="1">
        <v>3400</v>
      </c>
      <c r="J101" s="47">
        <v>1890</v>
      </c>
      <c r="L101">
        <v>4760</v>
      </c>
      <c r="N101" s="85">
        <f t="shared" si="0"/>
        <v>4731.7</v>
      </c>
    </row>
    <row r="102" spans="4:14">
      <c r="D102">
        <v>11</v>
      </c>
      <c r="I102" s="1">
        <v>3350</v>
      </c>
      <c r="J102" s="47">
        <v>1850</v>
      </c>
      <c r="L102">
        <v>4690</v>
      </c>
      <c r="N102" s="85">
        <f t="shared" si="0"/>
        <v>4675.3895700000012</v>
      </c>
    </row>
    <row r="103" spans="4:14">
      <c r="D103">
        <v>12</v>
      </c>
      <c r="I103" s="1">
        <v>3300</v>
      </c>
      <c r="J103" s="47">
        <v>1810</v>
      </c>
      <c r="L103">
        <v>4620</v>
      </c>
      <c r="N103" s="85">
        <f t="shared" si="0"/>
        <v>4624.32672</v>
      </c>
    </row>
    <row r="104" spans="4:14">
      <c r="D104">
        <v>13</v>
      </c>
      <c r="I104" s="1">
        <v>3250</v>
      </c>
      <c r="J104" s="47">
        <v>1770</v>
      </c>
      <c r="L104">
        <v>4550</v>
      </c>
      <c r="N104" s="85">
        <f t="shared" si="0"/>
        <v>4572.5799700000007</v>
      </c>
    </row>
    <row r="105" spans="4:14">
      <c r="D105">
        <v>14</v>
      </c>
      <c r="H105" s="1"/>
      <c r="I105" s="1">
        <v>3200</v>
      </c>
      <c r="J105" s="47">
        <v>1730</v>
      </c>
      <c r="L105">
        <v>4480</v>
      </c>
      <c r="N105" s="85">
        <f t="shared" si="0"/>
        <v>4515.0523200000007</v>
      </c>
    </row>
    <row r="106" spans="4:14">
      <c r="D106">
        <v>15</v>
      </c>
      <c r="H106" s="1"/>
      <c r="I106" s="1">
        <v>3150</v>
      </c>
      <c r="J106" s="47">
        <v>1690</v>
      </c>
      <c r="L106">
        <v>4410</v>
      </c>
      <c r="N106" s="85">
        <f t="shared" si="0"/>
        <v>4447.4812499999998</v>
      </c>
    </row>
    <row r="107" spans="4:14">
      <c r="D107">
        <v>16</v>
      </c>
      <c r="H107" s="1"/>
      <c r="I107" s="1">
        <v>3100</v>
      </c>
      <c r="J107" s="47">
        <v>1620</v>
      </c>
      <c r="L107">
        <v>4340</v>
      </c>
      <c r="N107" s="85">
        <f t="shared" si="0"/>
        <v>4366.4387200000001</v>
      </c>
    </row>
    <row r="108" spans="4:14">
      <c r="D108">
        <v>17</v>
      </c>
      <c r="H108" s="1"/>
      <c r="I108" s="1">
        <v>3050</v>
      </c>
      <c r="J108" s="47">
        <v>1540</v>
      </c>
      <c r="L108">
        <v>4270</v>
      </c>
      <c r="N108" s="85">
        <f t="shared" si="0"/>
        <v>4269.3311700000013</v>
      </c>
    </row>
    <row r="109" spans="4:14">
      <c r="D109">
        <v>18</v>
      </c>
      <c r="H109" s="1"/>
      <c r="I109" s="1">
        <v>3000</v>
      </c>
      <c r="J109" s="77">
        <v>1470</v>
      </c>
      <c r="L109">
        <v>4200</v>
      </c>
      <c r="N109" s="85">
        <f t="shared" si="0"/>
        <v>4154.3995200000008</v>
      </c>
    </row>
    <row r="110" spans="4:14">
      <c r="D110">
        <v>19</v>
      </c>
      <c r="H110" s="1"/>
      <c r="I110" s="1">
        <v>2900</v>
      </c>
      <c r="J110" s="47">
        <v>1380</v>
      </c>
      <c r="L110">
        <v>4060</v>
      </c>
      <c r="N110" s="85">
        <f t="shared" si="0"/>
        <v>4020.7191700000021</v>
      </c>
    </row>
    <row r="111" spans="4:14">
      <c r="D111">
        <v>20</v>
      </c>
      <c r="H111" s="1"/>
      <c r="I111" s="1">
        <v>2775</v>
      </c>
      <c r="J111" s="47">
        <v>1280</v>
      </c>
      <c r="L111">
        <v>3885</v>
      </c>
      <c r="N111" s="85">
        <f t="shared" si="0"/>
        <v>3868.2000000000007</v>
      </c>
    </row>
    <row r="112" spans="4:14">
      <c r="D112">
        <v>21</v>
      </c>
      <c r="H112" s="1"/>
      <c r="I112" s="1">
        <v>2650</v>
      </c>
      <c r="J112" s="47">
        <v>1220</v>
      </c>
      <c r="L112">
        <v>3710</v>
      </c>
      <c r="N112" s="85">
        <f t="shared" si="0"/>
        <v>3697.5863700000009</v>
      </c>
    </row>
    <row r="113" spans="4:14">
      <c r="D113">
        <v>22</v>
      </c>
      <c r="H113" s="1"/>
      <c r="I113" s="1">
        <v>2500</v>
      </c>
      <c r="J113" s="47">
        <v>1100</v>
      </c>
      <c r="L113">
        <v>3500</v>
      </c>
      <c r="N113" s="85">
        <f t="shared" si="0"/>
        <v>3510.4571199999991</v>
      </c>
    </row>
    <row r="114" spans="4:14">
      <c r="D114">
        <v>23</v>
      </c>
      <c r="H114" s="1"/>
      <c r="I114" s="1">
        <v>2350</v>
      </c>
      <c r="J114" s="47">
        <v>1020</v>
      </c>
      <c r="L114">
        <v>3290</v>
      </c>
      <c r="N114" s="85">
        <f t="shared" si="0"/>
        <v>3309.2255700000005</v>
      </c>
    </row>
    <row r="115" spans="4:14">
      <c r="D115">
        <v>24</v>
      </c>
      <c r="H115" s="1"/>
      <c r="I115" s="1">
        <v>2200</v>
      </c>
      <c r="J115" s="47">
        <v>950</v>
      </c>
      <c r="L115">
        <v>3080</v>
      </c>
      <c r="N115" s="85">
        <f t="shared" si="0"/>
        <v>3097.1395199999988</v>
      </c>
    </row>
    <row r="116" spans="4:14">
      <c r="D116">
        <v>25</v>
      </c>
      <c r="H116" s="1"/>
      <c r="I116" s="1">
        <v>2050</v>
      </c>
      <c r="J116" s="47">
        <v>870</v>
      </c>
      <c r="L116">
        <v>2870</v>
      </c>
      <c r="N116" s="85">
        <f t="shared" si="0"/>
        <v>2878.28125</v>
      </c>
    </row>
    <row r="117" spans="4:14">
      <c r="D117">
        <v>27</v>
      </c>
      <c r="I117" s="1">
        <v>1750</v>
      </c>
      <c r="J117" s="47">
        <v>770</v>
      </c>
      <c r="L117">
        <v>2450</v>
      </c>
      <c r="N117" s="85">
        <f t="shared" si="0"/>
        <v>2440.7495700000036</v>
      </c>
    </row>
    <row r="118" spans="4:14">
      <c r="D118">
        <v>30</v>
      </c>
      <c r="I118" s="1">
        <v>1350</v>
      </c>
      <c r="J118" s="47">
        <v>700</v>
      </c>
      <c r="L118">
        <v>1890</v>
      </c>
      <c r="N118" s="85">
        <f t="shared" si="0"/>
        <v>1883.6999999999971</v>
      </c>
    </row>
    <row r="127" spans="4:14">
      <c r="D127" s="79">
        <f>1*E6/(2*5905/E11)</f>
        <v>4.9788314987298903E-2</v>
      </c>
      <c r="E127" t="s">
        <v>57</v>
      </c>
    </row>
    <row r="128" spans="4:14">
      <c r="D128" s="79">
        <f>1*E6/(2*5905/E12)</f>
        <v>9.9576629974597805E-2</v>
      </c>
      <c r="E128" t="s">
        <v>58</v>
      </c>
    </row>
    <row r="131" spans="4:8">
      <c r="D131" s="43">
        <f>D141+J19</f>
        <v>0.1078147273182968</v>
      </c>
      <c r="E131" s="44" t="s">
        <v>59</v>
      </c>
      <c r="F131" s="45"/>
      <c r="G131" s="45"/>
      <c r="H131" s="46"/>
    </row>
    <row r="136" spans="4:8">
      <c r="D136" s="86"/>
      <c r="E136" s="87"/>
      <c r="F136" s="87"/>
      <c r="G136" s="87"/>
      <c r="H136" s="88"/>
    </row>
    <row r="137" spans="4:8">
      <c r="D137" s="93">
        <f>(1/(2*PI()*E11*1000000*J37*0.000000000001))/E17</f>
        <v>5.8026412330997895E-2</v>
      </c>
      <c r="E137" s="94" t="s">
        <v>60</v>
      </c>
      <c r="F137" s="94"/>
      <c r="G137" s="94"/>
      <c r="H137" s="95"/>
    </row>
    <row r="138" spans="4:8">
      <c r="D138" s="93">
        <f>ABS((1/(2*PI()*E12*1000000*J38*0.000000000001))/E20)</f>
        <v>0.45020660365519172</v>
      </c>
      <c r="E138" s="94" t="s">
        <v>61</v>
      </c>
      <c r="F138" s="94"/>
      <c r="G138" s="94"/>
      <c r="H138" s="95"/>
    </row>
    <row r="139" spans="4:8">
      <c r="D139" s="89"/>
      <c r="E139" s="90"/>
      <c r="F139" s="90"/>
      <c r="G139" s="90"/>
      <c r="H139" s="91"/>
    </row>
    <row r="141" spans="4:8">
      <c r="D141" s="96">
        <f>D127+D137-J19</f>
        <v>-1.2378717672324832E-2</v>
      </c>
      <c r="E141" s="92" t="s">
        <v>62</v>
      </c>
      <c r="F141" s="92"/>
      <c r="G141" s="92"/>
      <c r="H141" s="92"/>
    </row>
    <row r="144" spans="4:8">
      <c r="D144" s="78">
        <f>4*J8*J29/2</f>
        <v>170927.48468989955</v>
      </c>
    </row>
    <row r="145" spans="4:5">
      <c r="D145" s="78">
        <f>4*J9*J30/2</f>
        <v>56554.22738056018</v>
      </c>
    </row>
    <row r="148" spans="4:5">
      <c r="D148" s="53">
        <f>E6/(E23/(J15+J19))^0.25*0.8</f>
        <v>8.4362771399087766</v>
      </c>
      <c r="E148" s="40" t="s">
        <v>63</v>
      </c>
    </row>
    <row r="149" spans="4:5">
      <c r="D149" s="53">
        <f>E6/(E23/(J16+J20))^0.25*0.8</f>
        <v>15.730862795544093</v>
      </c>
      <c r="E149" s="40" t="s">
        <v>64</v>
      </c>
    </row>
    <row r="151" spans="4:5">
      <c r="D151">
        <f>(D148*D149)^0.5</f>
        <v>11.519979088222778</v>
      </c>
      <c r="E151" s="40" t="s">
        <v>65</v>
      </c>
    </row>
  </sheetData>
  <sheetProtection sheet="1" objects="1" scenarios="1"/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Home Dell Laptop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Kozma</dc:creator>
  <cp:keywords/>
  <dc:description/>
  <cp:lastModifiedBy>Mike</cp:lastModifiedBy>
  <cp:revision/>
  <dcterms:created xsi:type="dcterms:W3CDTF">2014-10-12T13:41:42Z</dcterms:created>
  <dcterms:modified xsi:type="dcterms:W3CDTF">2024-02-22T23:53:26Z</dcterms:modified>
  <cp:category/>
  <cp:contentStatus/>
</cp:coreProperties>
</file>